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<sst xmlns="http://schemas.openxmlformats.org/spreadsheetml/2006/main" count="398" uniqueCount="198">
  <si>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</si>
  <si>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</si>
  <si>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</si>
  <si>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</si>
  <si>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</si>
  <si>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</si>
  <si>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</si>
  <si>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</si>
  <si>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</si>
  <si>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</si>
  <si>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</si>
  <si>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</si>
  <si>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</si>
  <si>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</si>
  <si>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</si>
  <si>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</si>
  <si>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</si>
  <si>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</si>
  <si>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</si>
  <si>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</si>
  <si>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</si>
  <si>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</si>
  <si>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</si>
  <si>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</si>
  <si>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</si>
  <si>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</si>
  <si>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</si>
  <si>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</si>
  <si>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</si>
  <si>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</si>
  <si>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</si>
  <si>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</si>
  <si>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</si>
  <si>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</si>
  <si>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</si>
  <si>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</si>
  <si>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</si>
  <si>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</si>
  <si>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</si>
  <si>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</si>
  <si>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</si>
  <si>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</si>
  <si>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</si>
  <si>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</si>
  <si>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</si>
  <si>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</si>
  <si>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</si>
  <si>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</si>
  <si>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</si>
  <si>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</si>
  <si>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</si>
  <si>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</si>
  <si>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</si>
  <si>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</si>
  <si>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</si>
  <si>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</si>
  <si>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</si>
  <si>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</si>
  <si>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</si>
  <si>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</si>
  <si>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</si>
  <si>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</si>
  <si>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</si>
  <si>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</si>
  <si>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</si>
  <si>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</si>
  <si>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</si>
  <si>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</si>
  <si>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</si>
  <si>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</si>
  <si>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</si>
  <si>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</si>
  <si>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</si>
  <si>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</si>
  <si>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</si>
  <si>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</si>
  <si>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</si>
  <si>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</si>
  <si>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</si>
  <si>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</si>
  <si>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</si>
  <si>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</si>
  <si>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</si>
  <si>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</si>
  <si>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</si>
  <si>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</si>
  <si>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</si>
  <si>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</si>
  <si>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</si>
  <si>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</si>
  <si>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</si>
  <si>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</si>
  <si>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</si>
  <si>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</si>
  <si>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</si>
  <si>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</si>
  <si>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</si>
  <si>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</si>
  <si>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</si>
  <si>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</si>
  <si>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</si>
  <si>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</si>
  <si>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</si>
  <si>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</si>
  <si>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</si>
  <si>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</si>
  <si>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</si>
  <si>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</si>
  <si>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</si>
  <si>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</si>
  <si>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</si>
  <si>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</si>
  <si>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</si>
  <si>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</si>
  <si>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</si>
  <si>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</si>
  <si>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</si>
  <si>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</si>
  <si>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</si>
  <si>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</si>
  <si>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</si>
  <si>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</si>
  <si>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</si>
  <si>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</si>
  <si>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</si>
  <si>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</si>
  <si>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</si>
  <si>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</si>
  <si>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</si>
  <si>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</si>
  <si>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</si>
  <si>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</si>
  <si>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</si>
  <si>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</si>
  <si>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</si>
  <si>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</si>
  <si>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</si>
  <si>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</si>
  <si>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</si>
  <si>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</si>
  <si>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</si>
  <si>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</si>
  <si>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</si>
  <si>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</si>
  <si>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</si>
  <si>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</si>
  <si>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</si>
  <si>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</si>
  <si>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</si>
  <si>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</si>
  <si>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</si>
  <si>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</si>
  <si>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</si>
  <si>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</si>
  <si>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</si>
  <si>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</si>
  <si>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</si>
  <si>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</si>
  <si>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</si>
  <si>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</si>
  <si>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</si>
  <si>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</si>
  <si>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</si>
  <si>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</si>
  <si>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</si>
  <si>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</si>
  <si>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</si>
  <si>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</si>
  <si>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</si>
  <si>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</si>
  <si>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</si>
  <si>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</si>
  <si>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</si>
  <si>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</si>
  <si>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</si>
  <si>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</si>
  <si>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</si>
  <si>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</si>
  <si>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</si>
  <si>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</si>
  <si>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</si>
  <si>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</si>
  <si>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</si>
  <si>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</si>
  <si>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</si>
  <si>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</si>
  <si>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</si>
  <si>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</si>
  <si>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</si>
  <si>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</si>
  <si>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</si>
  <si>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</si>
  <si>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05.02.14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</si>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</sst>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4">
        <row r="6">
          <cell r="G6">
            <v>112706301.91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98881079.94999999</v>
          </cell>
        </row>
      </sheetData>
      <sheetData sheetId="16">
        <row r="28">
          <cell r="C28">
            <v>1733529</v>
          </cell>
        </row>
      </sheetData>
      <sheetData sheetId="17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2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45" t="s">
        <v>191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193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196</v>
      </c>
      <c r="N3" s="176" t="s">
        <v>188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197</v>
      </c>
      <c r="F4" s="160" t="s">
        <v>116</v>
      </c>
      <c r="G4" s="162" t="s">
        <v>167</v>
      </c>
      <c r="H4" s="164" t="s">
        <v>168</v>
      </c>
      <c r="I4" s="166" t="s">
        <v>194</v>
      </c>
      <c r="J4" s="172" t="s">
        <v>195</v>
      </c>
      <c r="K4" s="125" t="s">
        <v>174</v>
      </c>
      <c r="L4" s="132" t="s">
        <v>173</v>
      </c>
      <c r="M4" s="155"/>
      <c r="N4" s="174" t="s">
        <v>192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187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35789.1</v>
      </c>
      <c r="G8" s="22">
        <f aca="true" t="shared" si="0" ref="G8:G30">F8-E8</f>
        <v>-34240.9</v>
      </c>
      <c r="H8" s="51">
        <f>F8/E8*100</f>
        <v>51.10538340711124</v>
      </c>
      <c r="I8" s="36">
        <f aca="true" t="shared" si="1" ref="I8:I17">F8-D8</f>
        <v>-483540.2</v>
      </c>
      <c r="J8" s="36">
        <f aca="true" t="shared" si="2" ref="J8:J14">F8/D8*100</f>
        <v>6.891407821588345</v>
      </c>
      <c r="K8" s="36">
        <f>F8-72579.4</f>
        <v>-36790.299999999996</v>
      </c>
      <c r="L8" s="138">
        <f>F8/72579.4</f>
        <v>0.4931027261178792</v>
      </c>
      <c r="M8" s="22">
        <f>M10+M19+M33+M56+M68+M30</f>
        <v>35825</v>
      </c>
      <c r="N8" s="22">
        <f>N10+N19+N33+N56+N68+N30</f>
        <v>2040.9399999999982</v>
      </c>
      <c r="O8" s="36">
        <f aca="true" t="shared" si="3" ref="O8:O71">N8-M8</f>
        <v>-33784.060000000005</v>
      </c>
      <c r="P8" s="36">
        <f>F8/M8*100</f>
        <v>99.89979064898813</v>
      </c>
      <c r="Q8" s="36">
        <f>N8-38977.9</f>
        <v>-36936.96000000001</v>
      </c>
      <c r="R8" s="136">
        <f>N8/31977.9</f>
        <v>0.06382345307227798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28370.96</v>
      </c>
      <c r="G9" s="22">
        <f t="shared" si="0"/>
        <v>28370.96</v>
      </c>
      <c r="H9" s="20"/>
      <c r="I9" s="56">
        <f t="shared" si="1"/>
        <v>-389995.24</v>
      </c>
      <c r="J9" s="56">
        <f t="shared" si="2"/>
        <v>6.781370005511918</v>
      </c>
      <c r="K9" s="56"/>
      <c r="L9" s="137"/>
      <c r="M9" s="20">
        <f>M10+M17</f>
        <v>28750</v>
      </c>
      <c r="N9" s="20">
        <f>N10+N17</f>
        <v>1802.8499999999985</v>
      </c>
      <c r="O9" s="36">
        <f t="shared" si="3"/>
        <v>-26947.15</v>
      </c>
      <c r="P9" s="56">
        <f>F9/M9*100</f>
        <v>98.68159999999999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v>28370.96</v>
      </c>
      <c r="G10" s="49">
        <f t="shared" si="0"/>
        <v>-27529.04</v>
      </c>
      <c r="H10" s="40">
        <f aca="true" t="shared" si="4" ref="H10:H17">F10/E10*100</f>
        <v>50.75305903398927</v>
      </c>
      <c r="I10" s="56">
        <f t="shared" si="1"/>
        <v>-389995.24</v>
      </c>
      <c r="J10" s="56">
        <f t="shared" si="2"/>
        <v>6.781370005511918</v>
      </c>
      <c r="K10" s="56">
        <f>F10-55122.8</f>
        <v>-26751.840000000004</v>
      </c>
      <c r="L10" s="137">
        <f>F10/55122.8</f>
        <v>0.5146864818187755</v>
      </c>
      <c r="M10" s="40">
        <f>E10-'січень '!E10</f>
        <v>28750</v>
      </c>
      <c r="N10" s="40">
        <f>F10-'січень '!F10</f>
        <v>1802.8499999999985</v>
      </c>
      <c r="O10" s="53">
        <f t="shared" si="3"/>
        <v>-26947.15</v>
      </c>
      <c r="P10" s="56">
        <f aca="true" t="shared" si="5" ref="P10:P17">N10/M10*100</f>
        <v>6.270782608695648</v>
      </c>
      <c r="Q10" s="143">
        <f>N10-28390.4</f>
        <v>-26587.550000000003</v>
      </c>
      <c r="R10" s="144">
        <f>N10/28390.4</f>
        <v>0.06350209930117218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v>358.81</v>
      </c>
      <c r="G19" s="49">
        <f t="shared" si="0"/>
        <v>158.81</v>
      </c>
      <c r="H19" s="40">
        <f aca="true" t="shared" si="6" ref="H19:H28">F19/E19*100</f>
        <v>179.405</v>
      </c>
      <c r="I19" s="56">
        <f aca="true" t="shared" si="7" ref="I19:I29">F19-D19</f>
        <v>-5641.19</v>
      </c>
      <c r="J19" s="56">
        <f aca="true" t="shared" si="8" ref="J19:J29">F19/D19*100</f>
        <v>5.980166666666667</v>
      </c>
      <c r="K19" s="56">
        <f>F19-3876</f>
        <v>-3517.19</v>
      </c>
      <c r="L19" s="137">
        <f>F19/3876</f>
        <v>0.09257223942208462</v>
      </c>
      <c r="M19" s="40">
        <f>E19-'січень '!E19</f>
        <v>100</v>
      </c>
      <c r="N19" s="40">
        <f>F19-'січень '!F19</f>
        <v>0</v>
      </c>
      <c r="O19" s="53">
        <f t="shared" si="3"/>
        <v>-100</v>
      </c>
      <c r="P19" s="56">
        <f aca="true" t="shared" si="9" ref="P19:P28">N19/M19*100</f>
        <v>0</v>
      </c>
      <c r="Q19" s="56">
        <f>N19-3681.4</f>
        <v>-3681.4</v>
      </c>
      <c r="R19" s="137">
        <f>N19/3681.4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9">F20-194.7</f>
        <v>-194.7</v>
      </c>
      <c r="L20" s="137">
        <f aca="true" t="shared" si="11" ref="L20:L29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9">N20-3681.4</f>
        <v>-3681.4</v>
      </c>
      <c r="R20" s="137">
        <f aca="true" t="shared" si="13" ref="R20:R29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85">
        <v>11010232</v>
      </c>
      <c r="D29" s="186">
        <v>3000</v>
      </c>
      <c r="E29" s="41"/>
      <c r="F29" s="188">
        <v>358.79</v>
      </c>
      <c r="G29" s="49"/>
      <c r="H29" s="40"/>
      <c r="I29" s="56">
        <f t="shared" si="7"/>
        <v>-2641.21</v>
      </c>
      <c r="J29" s="56">
        <f t="shared" si="8"/>
        <v>11.959666666666667</v>
      </c>
      <c r="K29" s="190">
        <f>F29-322.6</f>
        <v>36.19</v>
      </c>
      <c r="L29" s="191">
        <f>F29/322.6</f>
        <v>1.112182269063856</v>
      </c>
      <c r="M29" s="188">
        <f>E29-'січень '!E29</f>
        <v>0</v>
      </c>
      <c r="N29" s="188">
        <f>F29-'січень '!F29</f>
        <v>0</v>
      </c>
      <c r="O29" s="190"/>
      <c r="P29" s="56"/>
      <c r="Q29" s="56">
        <f>N29-162.6</f>
        <v>-162.6</v>
      </c>
      <c r="R29" s="137">
        <f>N29/162.6</f>
        <v>0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F30-25.1</f>
        <v>-25.1</v>
      </c>
      <c r="L30" s="137"/>
      <c r="M30" s="40">
        <f>E30-'січень '!E30</f>
        <v>0</v>
      </c>
      <c r="N30" s="40">
        <f>F30-'січень '!F30</f>
        <v>0</v>
      </c>
      <c r="O30" s="53">
        <f t="shared" si="3"/>
        <v>0</v>
      </c>
      <c r="P30" s="56"/>
      <c r="Q30" s="56">
        <f>N30-25.1</f>
        <v>-25.1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v>6488.86</v>
      </c>
      <c r="G33" s="49">
        <f aca="true" t="shared" si="14" ref="G33:G72">F33-E33</f>
        <v>-6311.14</v>
      </c>
      <c r="H33" s="40">
        <f aca="true" t="shared" si="15" ref="H33:H67">F33/E33*100</f>
        <v>50.69421875</v>
      </c>
      <c r="I33" s="56">
        <f>F33-D33</f>
        <v>-81577.14</v>
      </c>
      <c r="J33" s="56">
        <f aca="true" t="shared" si="16" ref="J33:J72">F33/D33*100</f>
        <v>7.368178411645811</v>
      </c>
      <c r="K33" s="56">
        <f>F33-12535.7</f>
        <v>-6046.840000000001</v>
      </c>
      <c r="L33" s="137">
        <f>F33/12535.7</f>
        <v>0.5176304474421053</v>
      </c>
      <c r="M33" s="40">
        <f>E33-'січень '!E33</f>
        <v>6400</v>
      </c>
      <c r="N33" s="40">
        <f>F33-'січень '!F33</f>
        <v>195.5699999999997</v>
      </c>
      <c r="O33" s="53">
        <f t="shared" si="3"/>
        <v>-6204.43</v>
      </c>
      <c r="P33" s="56">
        <f aca="true" t="shared" si="17" ref="P33:P67">N33/M33*100</f>
        <v>3.0557812499999955</v>
      </c>
      <c r="Q33" s="143">
        <f>N33-6362.9</f>
        <v>-6167.33</v>
      </c>
      <c r="R33" s="144">
        <f>N33/6362.9</f>
        <v>0.030735985163997503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137">
        <f aca="true" t="shared" si="20" ref="L34:L55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5">N34-6362.9</f>
        <v>-6362.9</v>
      </c>
      <c r="R34" s="144">
        <f aca="true" t="shared" si="22" ref="R34:R55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86">
        <f>56066+10200</f>
        <v>66266</v>
      </c>
      <c r="E55" s="186">
        <v>9500</v>
      </c>
      <c r="F55" s="188">
        <v>4857.06</v>
      </c>
      <c r="G55" s="186">
        <f t="shared" si="14"/>
        <v>-4642.94</v>
      </c>
      <c r="H55" s="188">
        <f t="shared" si="15"/>
        <v>51.126947368421064</v>
      </c>
      <c r="I55" s="187">
        <f t="shared" si="18"/>
        <v>-61408.94</v>
      </c>
      <c r="J55" s="187">
        <f t="shared" si="16"/>
        <v>7.3296411432710595</v>
      </c>
      <c r="K55" s="190">
        <f>F55-9287.5</f>
        <v>-4430.44</v>
      </c>
      <c r="L55" s="191">
        <f>F55/9287.5</f>
        <v>0.5229674293405114</v>
      </c>
      <c r="M55" s="188">
        <f>E55-'січень '!E55</f>
        <v>4750</v>
      </c>
      <c r="N55" s="188">
        <f>F55-'січень '!F55</f>
        <v>169.15000000000055</v>
      </c>
      <c r="O55" s="190">
        <f t="shared" si="3"/>
        <v>-4580.849999999999</v>
      </c>
      <c r="P55" s="60">
        <f t="shared" si="17"/>
        <v>3.5610526315789586</v>
      </c>
      <c r="Q55" s="143">
        <f>N55-4413.4</f>
        <v>-4244.249999999999</v>
      </c>
      <c r="R55" s="144">
        <f>N55/4413.4</f>
        <v>0.03832646032537285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v>570.32</v>
      </c>
      <c r="G56" s="49">
        <f t="shared" si="14"/>
        <v>-559.68</v>
      </c>
      <c r="H56" s="40">
        <f t="shared" si="15"/>
        <v>50.47079646017699</v>
      </c>
      <c r="I56" s="56">
        <f t="shared" si="18"/>
        <v>-6289.68</v>
      </c>
      <c r="J56" s="56">
        <f t="shared" si="16"/>
        <v>8.313702623906707</v>
      </c>
      <c r="K56" s="56">
        <f>F56-1019.7</f>
        <v>-449.38</v>
      </c>
      <c r="L56" s="137">
        <f>F56/1019.7</f>
        <v>0.5593017554182603</v>
      </c>
      <c r="M56" s="40">
        <f>E56-'січень '!E56</f>
        <v>575</v>
      </c>
      <c r="N56" s="40">
        <f>F56-'січень '!F56</f>
        <v>42.520000000000095</v>
      </c>
      <c r="O56" s="53">
        <f t="shared" si="3"/>
        <v>-532.4799999999999</v>
      </c>
      <c r="P56" s="56">
        <f t="shared" si="17"/>
        <v>7.394782608695668</v>
      </c>
      <c r="Q56" s="56">
        <f>N56-518.3</f>
        <v>-475.77999999999986</v>
      </c>
      <c r="R56" s="137">
        <f>N56/518.3</f>
        <v>0.08203743005981111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>F58</f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>F59</f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>F60</f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>F61</f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>F62</f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>F63</f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>F64</f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>F65</f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>F66</f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>F67</f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4"/>
        <v>0.15</v>
      </c>
      <c r="H68" s="40"/>
      <c r="I68" s="56">
        <f t="shared" si="18"/>
        <v>0.04999999999999999</v>
      </c>
      <c r="J68" s="56">
        <f t="shared" si="16"/>
        <v>149.99999999999997</v>
      </c>
      <c r="K68" s="56">
        <f>F68-0.2</f>
        <v>-0.05000000000000002</v>
      </c>
      <c r="L68" s="137"/>
      <c r="M68" s="40">
        <f>E68-'січень '!E68</f>
        <v>0</v>
      </c>
      <c r="N68" s="40">
        <f>F68-'січень '!F68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1579.8700000000003</v>
      </c>
      <c r="G74" s="50">
        <f aca="true" t="shared" si="23" ref="G74:G92">F74-E74</f>
        <v>-932.2299999999996</v>
      </c>
      <c r="H74" s="51">
        <f aca="true" t="shared" si="24" ref="H74:H86">F74/E74*100</f>
        <v>62.8904104135982</v>
      </c>
      <c r="I74" s="36">
        <f aca="true" t="shared" si="25" ref="I74:I92">F74-D74</f>
        <v>-16085.729999999998</v>
      </c>
      <c r="J74" s="36">
        <f aca="true" t="shared" si="26" ref="J74:J92">F74/D74*100</f>
        <v>8.943200344171725</v>
      </c>
      <c r="K74" s="36">
        <f>F74-2710.3</f>
        <v>-1130.4299999999998</v>
      </c>
      <c r="L74" s="138">
        <f>F74/2710.3</f>
        <v>0.5829133306276059</v>
      </c>
      <c r="M74" s="22">
        <f>M77+M86+M88+M89+M94+M95+M96+M97+M99+M87</f>
        <v>1456</v>
      </c>
      <c r="N74" s="22">
        <f>N77+N86+N88+N89+N94+N95+N96+N97+N99+N32+N103+N87</f>
        <v>562.24</v>
      </c>
      <c r="O74" s="55">
        <f aca="true" t="shared" si="27" ref="O74:O92">N74-M74</f>
        <v>-893.76</v>
      </c>
      <c r="P74" s="36">
        <f>N74/M74*100</f>
        <v>38.61538461538462</v>
      </c>
      <c r="Q74" s="36">
        <f>N74-1790.3</f>
        <v>-1228.06</v>
      </c>
      <c r="R74" s="138">
        <f>N74/1790.3</f>
        <v>0.3140479249287829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3"/>
        <v>#REF!</v>
      </c>
      <c r="H75" s="40" t="e">
        <f t="shared" si="24"/>
        <v>#REF!</v>
      </c>
      <c r="I75" s="56" t="e">
        <f t="shared" si="25"/>
        <v>#REF!</v>
      </c>
      <c r="J75" s="56" t="e">
        <f t="shared" si="26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7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3"/>
        <v>0</v>
      </c>
      <c r="H76" s="40" t="e">
        <f t="shared" si="24"/>
        <v>#DIV/0!</v>
      </c>
      <c r="I76" s="56" t="e">
        <f t="shared" si="25"/>
        <v>#REF!</v>
      </c>
      <c r="J76" s="56" t="e">
        <f t="shared" si="26"/>
        <v>#REF!</v>
      </c>
      <c r="K76" s="56"/>
      <c r="L76" s="137"/>
      <c r="M76" s="59"/>
      <c r="N76" s="59"/>
      <c r="O76" s="53">
        <f t="shared" si="27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0</v>
      </c>
      <c r="G77" s="49">
        <f t="shared" si="23"/>
        <v>-301</v>
      </c>
      <c r="H77" s="40">
        <f t="shared" si="24"/>
        <v>0</v>
      </c>
      <c r="I77" s="56">
        <f t="shared" si="25"/>
        <v>-1700</v>
      </c>
      <c r="J77" s="56">
        <f t="shared" si="26"/>
        <v>0</v>
      </c>
      <c r="K77" s="56">
        <f>F77-1273.9</f>
        <v>-1273.9</v>
      </c>
      <c r="L77" s="137">
        <f>F77/1273.9</f>
        <v>0</v>
      </c>
      <c r="M77" s="40">
        <f>E77-'січень '!E77</f>
        <v>300</v>
      </c>
      <c r="N77" s="40">
        <f>F77-'січень '!F77</f>
        <v>0</v>
      </c>
      <c r="O77" s="53">
        <f t="shared" si="27"/>
        <v>-300</v>
      </c>
      <c r="P77" s="56">
        <f aca="true" t="shared" si="28" ref="P77:P86">N77/M77*100</f>
        <v>0</v>
      </c>
      <c r="Q77" s="56">
        <f>N77-1273</f>
        <v>-1273</v>
      </c>
      <c r="R77" s="137">
        <f>N77/1273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3"/>
        <v>0</v>
      </c>
      <c r="H78" s="40" t="e">
        <f t="shared" si="24"/>
        <v>#DIV/0!</v>
      </c>
      <c r="I78" s="56">
        <f t="shared" si="25"/>
        <v>0</v>
      </c>
      <c r="J78" s="56" t="e">
        <f t="shared" si="26"/>
        <v>#DIV/0!</v>
      </c>
      <c r="K78" s="56"/>
      <c r="L78" s="137">
        <f aca="true" t="shared" si="29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7"/>
        <v>0</v>
      </c>
      <c r="P78" s="56" t="e">
        <f t="shared" si="28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3"/>
        <v>0</v>
      </c>
      <c r="H79" s="40" t="e">
        <f t="shared" si="24"/>
        <v>#DIV/0!</v>
      </c>
      <c r="I79" s="56">
        <f t="shared" si="25"/>
        <v>0</v>
      </c>
      <c r="J79" s="56" t="e">
        <f t="shared" si="26"/>
        <v>#DIV/0!</v>
      </c>
      <c r="K79" s="56"/>
      <c r="L79" s="137">
        <f t="shared" si="29"/>
        <v>0</v>
      </c>
      <c r="M79" s="40">
        <f>E79-'січень '!E79</f>
        <v>0</v>
      </c>
      <c r="N79" s="40">
        <f>F79-'січень '!F79</f>
        <v>0</v>
      </c>
      <c r="O79" s="53">
        <f t="shared" si="27"/>
        <v>0</v>
      </c>
      <c r="P79" s="56" t="e">
        <f t="shared" si="28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3"/>
        <v>0</v>
      </c>
      <c r="H80" s="40" t="e">
        <f t="shared" si="24"/>
        <v>#DIV/0!</v>
      </c>
      <c r="I80" s="56">
        <f t="shared" si="25"/>
        <v>0</v>
      </c>
      <c r="J80" s="56" t="e">
        <f t="shared" si="26"/>
        <v>#DIV/0!</v>
      </c>
      <c r="K80" s="56"/>
      <c r="L80" s="137">
        <f t="shared" si="29"/>
        <v>0</v>
      </c>
      <c r="M80" s="40">
        <f>E80-'січень '!E80</f>
        <v>0</v>
      </c>
      <c r="N80" s="40">
        <f>F80-'січень '!F80</f>
        <v>0</v>
      </c>
      <c r="O80" s="53">
        <f t="shared" si="27"/>
        <v>0</v>
      </c>
      <c r="P80" s="56" t="e">
        <f t="shared" si="28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3"/>
        <v>0</v>
      </c>
      <c r="H81" s="40" t="e">
        <f t="shared" si="24"/>
        <v>#DIV/0!</v>
      </c>
      <c r="I81" s="56">
        <f t="shared" si="25"/>
        <v>0</v>
      </c>
      <c r="J81" s="56" t="e">
        <f t="shared" si="26"/>
        <v>#DIV/0!</v>
      </c>
      <c r="K81" s="56"/>
      <c r="L81" s="137">
        <f t="shared" si="29"/>
        <v>0</v>
      </c>
      <c r="M81" s="40">
        <f>E81-'січень '!E81</f>
        <v>0</v>
      </c>
      <c r="N81" s="40">
        <f>F81-'січень '!F81</f>
        <v>0</v>
      </c>
      <c r="O81" s="53">
        <f t="shared" si="27"/>
        <v>0</v>
      </c>
      <c r="P81" s="56" t="e">
        <f t="shared" si="28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3"/>
        <v>0</v>
      </c>
      <c r="H82" s="40" t="e">
        <f t="shared" si="24"/>
        <v>#DIV/0!</v>
      </c>
      <c r="I82" s="56">
        <f t="shared" si="25"/>
        <v>0</v>
      </c>
      <c r="J82" s="56" t="e">
        <f t="shared" si="26"/>
        <v>#DIV/0!</v>
      </c>
      <c r="K82" s="56"/>
      <c r="L82" s="137">
        <f t="shared" si="29"/>
        <v>0</v>
      </c>
      <c r="M82" s="40">
        <f>E82-'січень '!E82</f>
        <v>0</v>
      </c>
      <c r="N82" s="40">
        <f>F82-'січень '!F82</f>
        <v>0</v>
      </c>
      <c r="O82" s="53">
        <f t="shared" si="27"/>
        <v>0</v>
      </c>
      <c r="P82" s="56" t="e">
        <f t="shared" si="28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3"/>
        <v>0</v>
      </c>
      <c r="H83" s="40" t="e">
        <f t="shared" si="24"/>
        <v>#DIV/0!</v>
      </c>
      <c r="I83" s="56">
        <f t="shared" si="25"/>
        <v>0</v>
      </c>
      <c r="J83" s="56" t="e">
        <f t="shared" si="26"/>
        <v>#DIV/0!</v>
      </c>
      <c r="K83" s="56"/>
      <c r="L83" s="137">
        <f t="shared" si="29"/>
        <v>0</v>
      </c>
      <c r="M83" s="40">
        <f>E83-'січень '!E83</f>
        <v>0</v>
      </c>
      <c r="N83" s="40">
        <f>F83-'січень '!F83</f>
        <v>0</v>
      </c>
      <c r="O83" s="53">
        <f t="shared" si="27"/>
        <v>0</v>
      </c>
      <c r="P83" s="56" t="e">
        <f t="shared" si="28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3"/>
        <v>0</v>
      </c>
      <c r="H84" s="40" t="e">
        <f t="shared" si="24"/>
        <v>#DIV/0!</v>
      </c>
      <c r="I84" s="56">
        <f t="shared" si="25"/>
        <v>0</v>
      </c>
      <c r="J84" s="56" t="e">
        <f t="shared" si="26"/>
        <v>#DIV/0!</v>
      </c>
      <c r="K84" s="56"/>
      <c r="L84" s="137">
        <f t="shared" si="29"/>
        <v>0</v>
      </c>
      <c r="M84" s="40">
        <f>E84-'січень '!E84</f>
        <v>0</v>
      </c>
      <c r="N84" s="40">
        <f>F84-'січень '!F84</f>
        <v>0</v>
      </c>
      <c r="O84" s="53">
        <f t="shared" si="27"/>
        <v>0</v>
      </c>
      <c r="P84" s="56" t="e">
        <f t="shared" si="28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3"/>
        <v>0</v>
      </c>
      <c r="H85" s="40" t="e">
        <f t="shared" si="24"/>
        <v>#DIV/0!</v>
      </c>
      <c r="I85" s="56">
        <f t="shared" si="25"/>
        <v>0</v>
      </c>
      <c r="J85" s="56" t="e">
        <f t="shared" si="26"/>
        <v>#DIV/0!</v>
      </c>
      <c r="K85" s="56"/>
      <c r="L85" s="137">
        <f t="shared" si="29"/>
        <v>0</v>
      </c>
      <c r="M85" s="40">
        <f>E85-'січень '!E85</f>
        <v>0</v>
      </c>
      <c r="N85" s="40">
        <f>F85-'січень '!F85</f>
        <v>0</v>
      </c>
      <c r="O85" s="53">
        <f t="shared" si="27"/>
        <v>0</v>
      </c>
      <c r="P85" s="56" t="e">
        <f t="shared" si="28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3"/>
        <v>-100</v>
      </c>
      <c r="H86" s="40">
        <f t="shared" si="24"/>
        <v>0</v>
      </c>
      <c r="I86" s="56">
        <f t="shared" si="25"/>
        <v>-4300</v>
      </c>
      <c r="J86" s="56">
        <f t="shared" si="26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7"/>
        <v>-100</v>
      </c>
      <c r="P86" s="56">
        <f t="shared" si="28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21.2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16.97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0</v>
      </c>
      <c r="G88" s="49">
        <f t="shared" si="23"/>
        <v>-1.1</v>
      </c>
      <c r="H88" s="40">
        <f>F88/E88*100</f>
        <v>0</v>
      </c>
      <c r="I88" s="56">
        <f t="shared" si="25"/>
        <v>-5.1</v>
      </c>
      <c r="J88" s="56">
        <f t="shared" si="26"/>
        <v>0</v>
      </c>
      <c r="K88" s="56">
        <f>F88-0</f>
        <v>0</v>
      </c>
      <c r="L88" s="137" t="e">
        <f>F88/0*100</f>
        <v>#DIV/0!</v>
      </c>
      <c r="M88" s="40">
        <f>E88-'січень '!E88</f>
        <v>1</v>
      </c>
      <c r="N88" s="40">
        <f>F88-'січень '!F88</f>
        <v>0</v>
      </c>
      <c r="O88" s="53">
        <f t="shared" si="27"/>
        <v>-1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v>9.91</v>
      </c>
      <c r="G89" s="49">
        <f t="shared" si="23"/>
        <v>-10.09</v>
      </c>
      <c r="H89" s="40">
        <f>F89/E89*100</f>
        <v>49.55</v>
      </c>
      <c r="I89" s="56">
        <f t="shared" si="25"/>
        <v>-165.09</v>
      </c>
      <c r="J89" s="56">
        <f t="shared" si="26"/>
        <v>5.662857142857143</v>
      </c>
      <c r="K89" s="56">
        <f>F89-31.6</f>
        <v>-21.69</v>
      </c>
      <c r="L89" s="137">
        <f>F89/31.6</f>
        <v>0.31360759493670887</v>
      </c>
      <c r="M89" s="40">
        <f>E89-'січень '!E89</f>
        <v>10</v>
      </c>
      <c r="N89" s="40">
        <f>F89-'січень '!F89</f>
        <v>0.8900000000000006</v>
      </c>
      <c r="O89" s="53">
        <f t="shared" si="27"/>
        <v>-9.11</v>
      </c>
      <c r="P89" s="56">
        <f>N89/M89*100</f>
        <v>8.900000000000006</v>
      </c>
      <c r="Q89" s="56">
        <f>N89-19.8</f>
        <v>-18.91</v>
      </c>
      <c r="R89" s="137">
        <f>N89/19.8</f>
        <v>0.044949494949494975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3"/>
        <v>0</v>
      </c>
      <c r="H90" s="40" t="e">
        <f>F90/E90*100</f>
        <v>#DIV/0!</v>
      </c>
      <c r="I90" s="56">
        <f t="shared" si="25"/>
        <v>0</v>
      </c>
      <c r="J90" s="56" t="e">
        <f t="shared" si="26"/>
        <v>#DIV/0!</v>
      </c>
      <c r="K90" s="56"/>
      <c r="L90" s="137">
        <f t="shared" si="29"/>
        <v>0</v>
      </c>
      <c r="M90" s="40">
        <f>E90-'січень '!E90</f>
        <v>0</v>
      </c>
      <c r="N90" s="40">
        <f>F90-'січень '!F90</f>
        <v>0</v>
      </c>
      <c r="O90" s="53">
        <f t="shared" si="27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3"/>
        <v>0</v>
      </c>
      <c r="H91" s="40" t="e">
        <f>F91/E91*100</f>
        <v>#DIV/0!</v>
      </c>
      <c r="I91" s="56">
        <f t="shared" si="25"/>
        <v>0</v>
      </c>
      <c r="J91" s="56" t="e">
        <f t="shared" si="26"/>
        <v>#DIV/0!</v>
      </c>
      <c r="K91" s="56"/>
      <c r="L91" s="137">
        <f t="shared" si="29"/>
        <v>0</v>
      </c>
      <c r="M91" s="40">
        <f>E91-'січень '!E91</f>
        <v>0</v>
      </c>
      <c r="N91" s="40">
        <f>F91-'січень '!F91</f>
        <v>0</v>
      </c>
      <c r="O91" s="53">
        <f t="shared" si="27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3"/>
        <v>0</v>
      </c>
      <c r="H92" s="40" t="e">
        <f>F92/E92*100</f>
        <v>#DIV/0!</v>
      </c>
      <c r="I92" s="56">
        <f t="shared" si="25"/>
        <v>0</v>
      </c>
      <c r="J92" s="56" t="e">
        <f t="shared" si="26"/>
        <v>#DIV/0!</v>
      </c>
      <c r="K92" s="56"/>
      <c r="L92" s="137">
        <f t="shared" si="29"/>
        <v>0</v>
      </c>
      <c r="M92" s="40">
        <f>E92-'січень '!E92</f>
        <v>0</v>
      </c>
      <c r="N92" s="40">
        <f>F92-'січень '!F92</f>
        <v>0</v>
      </c>
      <c r="O92" s="53">
        <f t="shared" si="27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29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0" ref="G94:G101">F94-E94</f>
        <v>0</v>
      </c>
      <c r="H94" s="40"/>
      <c r="I94" s="56">
        <f aca="true" t="shared" si="31" ref="I94:I100">F94-D94</f>
        <v>0</v>
      </c>
      <c r="J94" s="56"/>
      <c r="K94" s="56"/>
      <c r="L94" s="137">
        <f t="shared" si="29"/>
        <v>0</v>
      </c>
      <c r="M94" s="40">
        <f>E94-'січень '!E94</f>
        <v>0</v>
      </c>
      <c r="N94" s="40">
        <f>F94-'січень '!F94</f>
        <v>0</v>
      </c>
      <c r="O94" s="53">
        <f aca="true" t="shared" si="32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1140.96</v>
      </c>
      <c r="G95" s="49">
        <f t="shared" si="30"/>
        <v>-119.03999999999996</v>
      </c>
      <c r="H95" s="40">
        <f>F95/E95*100</f>
        <v>90.55238095238096</v>
      </c>
      <c r="I95" s="56">
        <f t="shared" si="31"/>
        <v>-5159.04</v>
      </c>
      <c r="J95" s="56">
        <f>F95/D95*100</f>
        <v>18.11047619047619</v>
      </c>
      <c r="K95" s="56">
        <f>F95-825</f>
        <v>315.96000000000004</v>
      </c>
      <c r="L95" s="137">
        <f>F95/825</f>
        <v>1.3829818181818183</v>
      </c>
      <c r="M95" s="40">
        <f>E95-'січень '!E95</f>
        <v>630</v>
      </c>
      <c r="N95" s="40">
        <f>F95-'січень '!F95</f>
        <v>493.47</v>
      </c>
      <c r="O95" s="53">
        <f t="shared" si="32"/>
        <v>-136.52999999999997</v>
      </c>
      <c r="P95" s="56">
        <f>N95/M95*100</f>
        <v>78.32857142857144</v>
      </c>
      <c r="Q95" s="56">
        <f>N95-186.8</f>
        <v>306.67</v>
      </c>
      <c r="R95" s="137">
        <f>N95/186.8</f>
        <v>2.6417023554603856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v>83.89</v>
      </c>
      <c r="G96" s="49">
        <f t="shared" si="30"/>
        <v>-86.11</v>
      </c>
      <c r="H96" s="40">
        <f>F96/E96*100</f>
        <v>49.34705882352941</v>
      </c>
      <c r="I96" s="56">
        <f t="shared" si="31"/>
        <v>-1116.11</v>
      </c>
      <c r="J96" s="56">
        <f>F96/D96*100</f>
        <v>6.990833333333334</v>
      </c>
      <c r="K96" s="56">
        <f>F96-60</f>
        <v>23.89</v>
      </c>
      <c r="L96" s="137">
        <f>F96/60</f>
        <v>1.3981666666666668</v>
      </c>
      <c r="M96" s="40">
        <f>E96-'січень '!E96</f>
        <v>85</v>
      </c>
      <c r="N96" s="40">
        <f>F96-'січень '!F96</f>
        <v>4.3799999999999955</v>
      </c>
      <c r="O96" s="53">
        <f t="shared" si="32"/>
        <v>-80.62</v>
      </c>
      <c r="P96" s="56">
        <f>N96/M96*100</f>
        <v>5.152941176470583</v>
      </c>
      <c r="Q96" s="56">
        <f>N96-42.8</f>
        <v>-38.42</v>
      </c>
      <c r="R96" s="137">
        <f>N96/42.8</f>
        <v>0.10233644859813074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0"/>
        <v>0</v>
      </c>
      <c r="H97" s="40"/>
      <c r="I97" s="56">
        <f t="shared" si="31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2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0"/>
        <v>0</v>
      </c>
      <c r="H98" s="40" t="e">
        <f>F98/E98*100</f>
        <v>#DIV/0!</v>
      </c>
      <c r="I98" s="56">
        <f t="shared" si="31"/>
        <v>0</v>
      </c>
      <c r="J98" s="56" t="e">
        <f>F98/D98*100</f>
        <v>#DIV/0!</v>
      </c>
      <c r="K98" s="56"/>
      <c r="L98" s="137">
        <f t="shared" si="29"/>
        <v>0</v>
      </c>
      <c r="M98" s="40">
        <f>E98-'січень '!E98</f>
        <v>0</v>
      </c>
      <c r="N98" s="40">
        <f>F98-'січень '!F98</f>
        <v>0</v>
      </c>
      <c r="O98" s="53">
        <f t="shared" si="32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v>323.91</v>
      </c>
      <c r="G99" s="49">
        <f t="shared" si="30"/>
        <v>-336.09</v>
      </c>
      <c r="H99" s="40">
        <f>F99/E99*100</f>
        <v>49.07727272727273</v>
      </c>
      <c r="I99" s="56">
        <f t="shared" si="31"/>
        <v>-3556.09</v>
      </c>
      <c r="J99" s="56">
        <f>F99/D99*100</f>
        <v>8.348195876288662</v>
      </c>
      <c r="K99" s="56">
        <f>F99-488.6</f>
        <v>-164.69</v>
      </c>
      <c r="L99" s="137">
        <f>F99/488.6</f>
        <v>0.6629349160867786</v>
      </c>
      <c r="M99" s="40">
        <f>E99-'січень '!E99</f>
        <v>330</v>
      </c>
      <c r="N99" s="40">
        <f>F99-'січень '!F99</f>
        <v>46.53000000000003</v>
      </c>
      <c r="O99" s="53">
        <f t="shared" si="32"/>
        <v>-283.46999999999997</v>
      </c>
      <c r="P99" s="56">
        <f>N99/M99*100</f>
        <v>14.10000000000001</v>
      </c>
      <c r="Q99" s="56">
        <f>N99-252.2</f>
        <v>-205.66999999999996</v>
      </c>
      <c r="R99" s="137">
        <f>N99/252.2</f>
        <v>0.18449643140364802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0"/>
        <v>0</v>
      </c>
      <c r="H100" s="40" t="e">
        <f>F100/E100*100</f>
        <v>#DIV/0!</v>
      </c>
      <c r="I100" s="56">
        <f t="shared" si="31"/>
        <v>0</v>
      </c>
      <c r="J100" s="56" t="e">
        <f>F100/D100*100</f>
        <v>#DIV/0!</v>
      </c>
      <c r="K100" s="56"/>
      <c r="L100" s="137">
        <f t="shared" si="29"/>
        <v>0</v>
      </c>
      <c r="M100" s="40">
        <f>E100-'січень '!E100</f>
        <v>0</v>
      </c>
      <c r="N100" s="40">
        <f>F100-'січень '!F100</f>
        <v>0</v>
      </c>
      <c r="O100" s="53">
        <f t="shared" si="32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0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29"/>
        <v>0</v>
      </c>
      <c r="M101" s="40">
        <f>E101-'січень '!E101</f>
        <v>0</v>
      </c>
      <c r="N101" s="40">
        <f>F101-'січень '!F101</f>
        <v>0</v>
      </c>
      <c r="O101" s="53">
        <f t="shared" si="32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8">
        <v>69.8</v>
      </c>
      <c r="G102" s="186"/>
      <c r="H102" s="188"/>
      <c r="I102" s="187"/>
      <c r="J102" s="187"/>
      <c r="K102" s="190">
        <f>F102-54.4</f>
        <v>15.399999999999999</v>
      </c>
      <c r="L102" s="191">
        <f>F102/54.4</f>
        <v>1.2830882352941175</v>
      </c>
      <c r="M102" s="188">
        <f>E102-'січень '!E102</f>
        <v>0</v>
      </c>
      <c r="N102" s="188">
        <f>F102-'січень '!F102</f>
        <v>5.099999999999994</v>
      </c>
      <c r="O102" s="53"/>
      <c r="P102" s="60"/>
      <c r="Q102" s="60">
        <f>N102-26.6</f>
        <v>-21.500000000000007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3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4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v>2.21</v>
      </c>
      <c r="G104" s="49">
        <f>F104-E104</f>
        <v>0.20999999999999996</v>
      </c>
      <c r="H104" s="40"/>
      <c r="I104" s="56">
        <f t="shared" si="33"/>
        <v>-42.79</v>
      </c>
      <c r="J104" s="56">
        <f aca="true" t="shared" si="35" ref="J104:J109">F104/D104*100</f>
        <v>4.911111111111111</v>
      </c>
      <c r="K104" s="56">
        <f>F104-10.6</f>
        <v>-8.39</v>
      </c>
      <c r="L104" s="137">
        <f>F104/10.6</f>
        <v>0.20849056603773586</v>
      </c>
      <c r="M104" s="40">
        <f>E104-'січень '!E104</f>
        <v>1</v>
      </c>
      <c r="N104" s="40">
        <f>F104-'січень '!F104</f>
        <v>0</v>
      </c>
      <c r="O104" s="53">
        <f t="shared" si="34"/>
        <v>-1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4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37371.18</v>
      </c>
      <c r="G106" s="50">
        <f>F106-E106</f>
        <v>-35172.920000000006</v>
      </c>
      <c r="H106" s="51">
        <f>F106/E106*100</f>
        <v>51.51511976852701</v>
      </c>
      <c r="I106" s="36">
        <f t="shared" si="33"/>
        <v>-499668.72000000003</v>
      </c>
      <c r="J106" s="36">
        <f t="shared" si="35"/>
        <v>6.95873435102308</v>
      </c>
      <c r="K106" s="36">
        <f>F106-75300.9</f>
        <v>-37929.719999999994</v>
      </c>
      <c r="L106" s="138">
        <f>F106/75300.9</f>
        <v>0.496291279387099</v>
      </c>
      <c r="M106" s="22">
        <f>M8+M74+M104+M105</f>
        <v>37282</v>
      </c>
      <c r="N106" s="22">
        <f>N8+N74+N104+N105</f>
        <v>2603.1799999999985</v>
      </c>
      <c r="O106" s="55">
        <f t="shared" si="34"/>
        <v>-34678.82</v>
      </c>
      <c r="P106" s="36">
        <f>N106/M106*100</f>
        <v>6.982404377447558</v>
      </c>
      <c r="Q106" s="36">
        <f>N106-40779.2</f>
        <v>-38176.02</v>
      </c>
      <c r="R106" s="138">
        <f>N106/40779.2</f>
        <v>0.06383597520304465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28454.85</v>
      </c>
      <c r="G107" s="71">
        <f>G10-G18+G96</f>
        <v>-27615.15</v>
      </c>
      <c r="H107" s="72">
        <f>F107/E107*100</f>
        <v>50.74879614767255</v>
      </c>
      <c r="I107" s="52">
        <f t="shared" si="33"/>
        <v>-391111.35000000003</v>
      </c>
      <c r="J107" s="52">
        <f t="shared" si="35"/>
        <v>6.781969090932491</v>
      </c>
      <c r="K107" s="52">
        <f>F107-55213.7</f>
        <v>-26758.85</v>
      </c>
      <c r="L107" s="139">
        <f>F107/55213.7</f>
        <v>0.5153585070372028</v>
      </c>
      <c r="M107" s="71">
        <f>M10-M18+M96</f>
        <v>28835</v>
      </c>
      <c r="N107" s="71">
        <f>N10-N18+N96</f>
        <v>1807.2299999999987</v>
      </c>
      <c r="O107" s="53">
        <f t="shared" si="34"/>
        <v>-27027.77</v>
      </c>
      <c r="P107" s="52">
        <f>N107/M107*100</f>
        <v>6.267487428472338</v>
      </c>
      <c r="Q107" s="52">
        <f>N107-28449</f>
        <v>-26641.77</v>
      </c>
      <c r="R107" s="139">
        <f>N107/28449</f>
        <v>0.06352525572076342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8916.330000000002</v>
      </c>
      <c r="G108" s="62">
        <f>F108-E108</f>
        <v>-7557.770000000004</v>
      </c>
      <c r="H108" s="72">
        <f>F108/E108*100</f>
        <v>54.12332084909038</v>
      </c>
      <c r="I108" s="52">
        <f t="shared" si="33"/>
        <v>-108557.37000000001</v>
      </c>
      <c r="J108" s="52">
        <f t="shared" si="35"/>
        <v>7.590064840045049</v>
      </c>
      <c r="K108" s="52">
        <f>F108-20087.2</f>
        <v>-11170.869999999999</v>
      </c>
      <c r="L108" s="139">
        <f>F108/20087.2</f>
        <v>0.4438811780636426</v>
      </c>
      <c r="M108" s="71">
        <f>M106-M107</f>
        <v>8447</v>
      </c>
      <c r="N108" s="71">
        <f>N106-N107</f>
        <v>795.9499999999998</v>
      </c>
      <c r="O108" s="53">
        <f t="shared" si="34"/>
        <v>-7651.05</v>
      </c>
      <c r="P108" s="52">
        <f>N108/M108*100</f>
        <v>9.422872025571207</v>
      </c>
      <c r="Q108" s="52">
        <f>N108-12330.3</f>
        <v>-11534.349999999999</v>
      </c>
      <c r="R108" s="139">
        <f>N108/12330.3</f>
        <v>0.06455236287843766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28454.85</v>
      </c>
      <c r="G109" s="111">
        <f>F109-E109</f>
        <v>-31559.85</v>
      </c>
      <c r="H109" s="72">
        <f>F109/E109*100</f>
        <v>47.413133782223355</v>
      </c>
      <c r="I109" s="81">
        <f t="shared" si="33"/>
        <v>-391111.35000000003</v>
      </c>
      <c r="J109" s="52">
        <f t="shared" si="35"/>
        <v>6.781969090932491</v>
      </c>
      <c r="K109" s="52"/>
      <c r="L109" s="139"/>
      <c r="M109" s="122">
        <f>E109-'січень '!E109</f>
        <v>31301.299999999996</v>
      </c>
      <c r="N109" s="71">
        <f>N107</f>
        <v>1807.2299999999987</v>
      </c>
      <c r="O109" s="118">
        <f t="shared" si="34"/>
        <v>-29494.069999999996</v>
      </c>
      <c r="P109" s="52">
        <f>N109/M109*100</f>
        <v>5.773657963087792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1733.529</v>
      </c>
      <c r="G110" s="62">
        <f>F110-E110</f>
        <v>-1485.882</v>
      </c>
      <c r="H110" s="72"/>
      <c r="I110" s="85">
        <f t="shared" si="33"/>
        <v>-3136.851</v>
      </c>
      <c r="J110" s="52"/>
      <c r="K110" s="52"/>
      <c r="L110" s="139"/>
      <c r="M110" s="40">
        <f>E110-'січень '!E110</f>
        <v>1650.981</v>
      </c>
      <c r="N110" s="71">
        <f>F110-'січень '!F110</f>
        <v>165.09799999999996</v>
      </c>
      <c r="O110" s="86"/>
      <c r="P110" s="52">
        <f>N110/M110*100</f>
        <v>9.999993942995102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36" ref="G113:G125">F113-E113</f>
        <v>0.18</v>
      </c>
      <c r="H113" s="40"/>
      <c r="I113" s="60">
        <f aca="true" t="shared" si="37" ref="I113:I124">F113-D113</f>
        <v>0.18</v>
      </c>
      <c r="J113" s="60"/>
      <c r="K113" s="60">
        <f>F113-4.1</f>
        <v>-3.9199999999999995</v>
      </c>
      <c r="L113" s="140">
        <f>F113/4.1</f>
        <v>0.04390243902439025</v>
      </c>
      <c r="M113" s="40">
        <f>E113-'січень '!E113</f>
        <v>0</v>
      </c>
      <c r="N113" s="40">
        <f>F113-'січень '!F113</f>
        <v>0</v>
      </c>
      <c r="O113" s="53"/>
      <c r="P113" s="60"/>
      <c r="Q113" s="60">
        <f>N113-3.2</f>
        <v>-3.2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v>76.06</v>
      </c>
      <c r="G114" s="49">
        <f t="shared" si="36"/>
        <v>-1049.99</v>
      </c>
      <c r="H114" s="40">
        <f aca="true" t="shared" si="38" ref="H114:H125">F114/E114*100</f>
        <v>6.754584609919631</v>
      </c>
      <c r="I114" s="60">
        <f t="shared" si="37"/>
        <v>-3595.44</v>
      </c>
      <c r="J114" s="60">
        <f aca="true" t="shared" si="39" ref="J114:J120">F114/D114*100</f>
        <v>2.0716328476099686</v>
      </c>
      <c r="K114" s="60">
        <f>F114-605.5</f>
        <v>-529.44</v>
      </c>
      <c r="L114" s="140">
        <f>F114/605.5</f>
        <v>0.12561519405450042</v>
      </c>
      <c r="M114" s="40">
        <f>E114-'січень '!E114</f>
        <v>563.02</v>
      </c>
      <c r="N114" s="40">
        <f>F114-'січень '!F114</f>
        <v>7.920000000000002</v>
      </c>
      <c r="O114" s="53">
        <f aca="true" t="shared" si="40" ref="O114:O125">N114-M114</f>
        <v>-555.1</v>
      </c>
      <c r="P114" s="60">
        <f>N114/M114*100</f>
        <v>1.406699584384214</v>
      </c>
      <c r="Q114" s="60">
        <f>N114-358.7</f>
        <v>-350.78</v>
      </c>
      <c r="R114" s="140">
        <f>N114/358.7</f>
        <v>0.022079732366880406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26.15</v>
      </c>
      <c r="G115" s="49">
        <f t="shared" si="36"/>
        <v>-23.85</v>
      </c>
      <c r="H115" s="40">
        <f t="shared" si="38"/>
        <v>52.300000000000004</v>
      </c>
      <c r="I115" s="60">
        <f t="shared" si="37"/>
        <v>-241.95000000000002</v>
      </c>
      <c r="J115" s="60">
        <f t="shared" si="39"/>
        <v>9.753823200298395</v>
      </c>
      <c r="K115" s="60">
        <f>F115-39.4</f>
        <v>-13.25</v>
      </c>
      <c r="L115" s="140">
        <f>F115/39.4</f>
        <v>0.6637055837563451</v>
      </c>
      <c r="M115" s="40">
        <f>E115-'січень '!E115</f>
        <v>25</v>
      </c>
      <c r="N115" s="40">
        <f>F115-'січень '!F115</f>
        <v>1.6199999999999974</v>
      </c>
      <c r="O115" s="53">
        <f t="shared" si="40"/>
        <v>-23.380000000000003</v>
      </c>
      <c r="P115" s="60">
        <f>N115/M115*100</f>
        <v>6.47999999999999</v>
      </c>
      <c r="Q115" s="60">
        <f>N115-16.9</f>
        <v>-15.280000000000001</v>
      </c>
      <c r="R115" s="140">
        <f>N115/16.9</f>
        <v>0.09585798816568034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102.39000000000001</v>
      </c>
      <c r="G116" s="62">
        <f t="shared" si="36"/>
        <v>-1073.6599999999999</v>
      </c>
      <c r="H116" s="72">
        <f t="shared" si="38"/>
        <v>8.706262488839762</v>
      </c>
      <c r="I116" s="61">
        <f t="shared" si="37"/>
        <v>-3837.21</v>
      </c>
      <c r="J116" s="61">
        <f t="shared" si="39"/>
        <v>2.5989948218093213</v>
      </c>
      <c r="K116" s="61">
        <f>F116-648.9</f>
        <v>-546.51</v>
      </c>
      <c r="L116" s="141">
        <f>F116/648.9</f>
        <v>0.15779010633379567</v>
      </c>
      <c r="M116" s="62">
        <f>M114+M115+M113</f>
        <v>588.02</v>
      </c>
      <c r="N116" s="38">
        <f>SUM(N113:N115)</f>
        <v>9.54</v>
      </c>
      <c r="O116" s="61">
        <f t="shared" si="40"/>
        <v>-578.48</v>
      </c>
      <c r="P116" s="61">
        <f>N116/M116*100</f>
        <v>1.6223937961293833</v>
      </c>
      <c r="Q116" s="61">
        <f>N116-378.9</f>
        <v>-369.35999999999996</v>
      </c>
      <c r="R116" s="141">
        <f>N116/378.9</f>
        <v>0.02517814726840855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6"/>
        <v>0</v>
      </c>
      <c r="H117" s="40" t="e">
        <f t="shared" si="38"/>
        <v>#DIV/0!</v>
      </c>
      <c r="I117" s="60">
        <f t="shared" si="37"/>
        <v>0</v>
      </c>
      <c r="J117" s="60" t="e">
        <f t="shared" si="39"/>
        <v>#DIV/0!</v>
      </c>
      <c r="K117" s="60"/>
      <c r="L117" s="140"/>
      <c r="M117" s="41">
        <v>0</v>
      </c>
      <c r="N117" s="41">
        <f>F117</f>
        <v>0</v>
      </c>
      <c r="O117" s="53">
        <f t="shared" si="40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54.5</v>
      </c>
      <c r="G118" s="49">
        <f t="shared" si="36"/>
        <v>54.5</v>
      </c>
      <c r="H118" s="40" t="e">
        <f t="shared" si="38"/>
        <v>#DIV/0!</v>
      </c>
      <c r="I118" s="60">
        <f t="shared" si="37"/>
        <v>54.5</v>
      </c>
      <c r="J118" s="60" t="e">
        <f t="shared" si="39"/>
        <v>#DIV/0!</v>
      </c>
      <c r="K118" s="60">
        <f>F118-5.2</f>
        <v>49.3</v>
      </c>
      <c r="L118" s="140">
        <f>F118/5.2</f>
        <v>10.48076923076923</v>
      </c>
      <c r="M118" s="40">
        <f>E118-'січень '!E118</f>
        <v>0</v>
      </c>
      <c r="N118" s="40">
        <f>F118-'січень '!F118</f>
        <v>0.17999999999999972</v>
      </c>
      <c r="O118" s="53" t="s">
        <v>166</v>
      </c>
      <c r="P118" s="60"/>
      <c r="Q118" s="60">
        <f>N118-5</f>
        <v>-4.82</v>
      </c>
      <c r="R118" s="140">
        <f>N118/5</f>
        <v>0.03599999999999994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v>8563.05</v>
      </c>
      <c r="G119" s="49">
        <f t="shared" si="36"/>
        <v>8563.05</v>
      </c>
      <c r="H119" s="40" t="e">
        <f t="shared" si="38"/>
        <v>#DIV/0!</v>
      </c>
      <c r="I119" s="53">
        <f t="shared" si="37"/>
        <v>-17424.335</v>
      </c>
      <c r="J119" s="60">
        <f t="shared" si="39"/>
        <v>32.950795164653925</v>
      </c>
      <c r="K119" s="60">
        <f>F119-14451.2</f>
        <v>-5888.1500000000015</v>
      </c>
      <c r="L119" s="140">
        <f>F119/14451.2</f>
        <v>0.5925494076616474</v>
      </c>
      <c r="M119" s="40">
        <f>E119-'січень '!E119</f>
        <v>0</v>
      </c>
      <c r="N119" s="40">
        <f>F119-'січень '!F119</f>
        <v>1083.1899999999996</v>
      </c>
      <c r="O119" s="53">
        <f t="shared" si="40"/>
        <v>1083.1899999999996</v>
      </c>
      <c r="P119" s="60" t="e">
        <f aca="true" t="shared" si="41" ref="P119:P124">N119/M119*100</f>
        <v>#DIV/0!</v>
      </c>
      <c r="Q119" s="60">
        <f>N119-8093.7</f>
        <v>-7010.51</v>
      </c>
      <c r="R119" s="140">
        <f>N119/8093.7</f>
        <v>0.1338312514671905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0.05</v>
      </c>
      <c r="G120" s="49">
        <f t="shared" si="36"/>
        <v>0.05</v>
      </c>
      <c r="H120" s="40" t="e">
        <f t="shared" si="38"/>
        <v>#DIV/0!</v>
      </c>
      <c r="I120" s="60">
        <f t="shared" si="37"/>
        <v>0.05</v>
      </c>
      <c r="J120" s="60" t="e">
        <f t="shared" si="39"/>
        <v>#DIV/0!</v>
      </c>
      <c r="K120" s="60">
        <f>F120-280.4</f>
        <v>-280.34999999999997</v>
      </c>
      <c r="L120" s="140">
        <f>F120/230.3*100</f>
        <v>0.021710811984368215</v>
      </c>
      <c r="M120" s="40">
        <f>E120-'січень '!E120</f>
        <v>0</v>
      </c>
      <c r="N120" s="40">
        <f>F120-'січень '!F120</f>
        <v>0.010000000000000002</v>
      </c>
      <c r="O120" s="53">
        <f t="shared" si="40"/>
        <v>0.010000000000000002</v>
      </c>
      <c r="P120" s="60" t="e">
        <f t="shared" si="41"/>
        <v>#DIV/0!</v>
      </c>
      <c r="Q120" s="60">
        <f>N120-230.3</f>
        <v>-230.29000000000002</v>
      </c>
      <c r="R120" s="140">
        <f>N120/230.3</f>
        <v>4.342162396873644E-05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621.08</v>
      </c>
      <c r="G121" s="49">
        <f t="shared" si="36"/>
        <v>621.08</v>
      </c>
      <c r="H121" s="40" t="e">
        <f t="shared" si="38"/>
        <v>#DIV/0!</v>
      </c>
      <c r="I121" s="60">
        <f t="shared" si="37"/>
        <v>621.08</v>
      </c>
      <c r="J121" s="60" t="e">
        <f>F121/D121*100</f>
        <v>#DIV/0!</v>
      </c>
      <c r="K121" s="60">
        <f>F121-238.5</f>
        <v>382.58000000000004</v>
      </c>
      <c r="L121" s="140">
        <f>F121/280.4</f>
        <v>2.214978601997147</v>
      </c>
      <c r="M121" s="40">
        <f>E121-'січень '!E121</f>
        <v>0</v>
      </c>
      <c r="N121" s="40">
        <f>F121-'січень '!F121</f>
        <v>171.07000000000005</v>
      </c>
      <c r="O121" s="53">
        <f t="shared" si="40"/>
        <v>171.07000000000005</v>
      </c>
      <c r="P121" s="60" t="e">
        <f t="shared" si="41"/>
        <v>#DIV/0!</v>
      </c>
      <c r="Q121" s="60">
        <f>N121-50.2</f>
        <v>120.87000000000005</v>
      </c>
      <c r="R121" s="140">
        <f>N121/50.2</f>
        <v>3.4077689243027898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42.3</v>
      </c>
      <c r="G122" s="49">
        <f t="shared" si="36"/>
        <v>42.3</v>
      </c>
      <c r="H122" s="40" t="e">
        <f t="shared" si="38"/>
        <v>#DIV/0!</v>
      </c>
      <c r="I122" s="60">
        <f t="shared" si="37"/>
        <v>42.3</v>
      </c>
      <c r="J122" s="60" t="e">
        <f>F122/D122*100</f>
        <v>#DIV/0!</v>
      </c>
      <c r="K122" s="60">
        <f>F122-306.8</f>
        <v>-264.5</v>
      </c>
      <c r="L122" s="140">
        <f>F122/306.8</f>
        <v>0.13787483702737938</v>
      </c>
      <c r="M122" s="40">
        <f>E122-'січень '!E122</f>
        <v>0</v>
      </c>
      <c r="N122" s="40">
        <f>F122-'січень '!F122</f>
        <v>41.25</v>
      </c>
      <c r="O122" s="53">
        <f t="shared" si="40"/>
        <v>41.25</v>
      </c>
      <c r="P122" s="60" t="e">
        <f t="shared" si="41"/>
        <v>#DIV/0!</v>
      </c>
      <c r="Q122" s="60">
        <f>N122-292.3</f>
        <v>-251.05</v>
      </c>
      <c r="R122" s="140">
        <f>N122/292.3</f>
        <v>0.14112213479302085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9280.979999999998</v>
      </c>
      <c r="G123" s="62">
        <f t="shared" si="36"/>
        <v>9280.979999999998</v>
      </c>
      <c r="H123" s="72" t="e">
        <f t="shared" si="38"/>
        <v>#DIV/0!</v>
      </c>
      <c r="I123" s="61">
        <f t="shared" si="37"/>
        <v>-16706.405</v>
      </c>
      <c r="J123" s="61">
        <f>F123/D123*100</f>
        <v>35.713404792363676</v>
      </c>
      <c r="K123" s="61">
        <f>F123-15573.7</f>
        <v>-6292.720000000003</v>
      </c>
      <c r="L123" s="141">
        <f>F123/15573.7</f>
        <v>0.5959393079358147</v>
      </c>
      <c r="M123" s="62">
        <f>M119+M120+M121+M122+M118</f>
        <v>0</v>
      </c>
      <c r="N123" s="62">
        <f>N119+N120+N121+N122+N118</f>
        <v>1295.6999999999996</v>
      </c>
      <c r="O123" s="61">
        <f t="shared" si="40"/>
        <v>1295.6999999999996</v>
      </c>
      <c r="P123" s="61" t="e">
        <f t="shared" si="41"/>
        <v>#DIV/0!</v>
      </c>
      <c r="Q123" s="61">
        <f>N123-8732.6</f>
        <v>-7436.900000000001</v>
      </c>
      <c r="R123" s="141">
        <f>N123/8732.6</f>
        <v>0.14837505439388035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6"/>
        <v>0.16</v>
      </c>
      <c r="H124" s="40" t="e">
        <f t="shared" si="38"/>
        <v>#DIV/0!</v>
      </c>
      <c r="I124" s="60">
        <f t="shared" si="37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0"/>
        <v>0</v>
      </c>
      <c r="P124" s="60" t="e">
        <f t="shared" si="41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6"/>
        <v>0</v>
      </c>
      <c r="H125" s="40" t="e">
        <f t="shared" si="38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0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v>18.43</v>
      </c>
      <c r="G127" s="49">
        <f aca="true" t="shared" si="42" ref="G127:G134">F127-E127</f>
        <v>-1441.76</v>
      </c>
      <c r="H127" s="40">
        <f>F127/E127*100</f>
        <v>1.2621645128373704</v>
      </c>
      <c r="I127" s="60">
        <f aca="true" t="shared" si="43" ref="I127:I134">F127-D127</f>
        <v>-8681.57</v>
      </c>
      <c r="J127" s="60">
        <f>F127/D127*100</f>
        <v>0.2118390804597701</v>
      </c>
      <c r="K127" s="60">
        <f>F127-2439.3</f>
        <v>-2420.8700000000003</v>
      </c>
      <c r="L127" s="140">
        <f>F127/2439.3</f>
        <v>0.007555446234575492</v>
      </c>
      <c r="M127" s="40">
        <f>E127-'січень '!E127</f>
        <v>730.09</v>
      </c>
      <c r="N127" s="40">
        <f>F127-'січень '!F127</f>
        <v>0.759999999999998</v>
      </c>
      <c r="O127" s="53">
        <f aca="true" t="shared" si="44" ref="O127:O134">N127-M127</f>
        <v>-729.33</v>
      </c>
      <c r="P127" s="60">
        <f>N127/M127*100</f>
        <v>0.10409675519456477</v>
      </c>
      <c r="Q127" s="60">
        <f>N127-2355</f>
        <v>-2354.24</v>
      </c>
      <c r="R127" s="140">
        <f>N127/2355</f>
        <v>0.00032271762208067856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2"/>
        <v>-0.16</v>
      </c>
      <c r="H128" s="40"/>
      <c r="I128" s="60">
        <f t="shared" si="43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4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27.189999999999998</v>
      </c>
      <c r="G129" s="62">
        <f t="shared" si="42"/>
        <v>-1433</v>
      </c>
      <c r="H129" s="72">
        <f>F129/E129*100</f>
        <v>1.8620864408056481</v>
      </c>
      <c r="I129" s="61">
        <f t="shared" si="43"/>
        <v>-8723.51</v>
      </c>
      <c r="J129" s="61">
        <f>F129/D129*100</f>
        <v>0.3107179997028809</v>
      </c>
      <c r="K129" s="61">
        <f>F129-2474.4</f>
        <v>-2447.21</v>
      </c>
      <c r="L129" s="141">
        <f>G129/2474.4</f>
        <v>-0.5791302942127384</v>
      </c>
      <c r="M129" s="62">
        <f>M124+M127+M128+M126</f>
        <v>730.09</v>
      </c>
      <c r="N129" s="62">
        <f>N124+N127+N128+N126</f>
        <v>0.809999999999998</v>
      </c>
      <c r="O129" s="61">
        <f t="shared" si="44"/>
        <v>-729.2800000000001</v>
      </c>
      <c r="P129" s="61">
        <f>N129/M129*100</f>
        <v>0.11094522593104933</v>
      </c>
      <c r="Q129" s="61">
        <f>N129-2389.7</f>
        <v>-2388.89</v>
      </c>
      <c r="R129" s="139">
        <f>N129/2389.7</f>
        <v>0.00033895468050382813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2"/>
        <v>-18.48</v>
      </c>
      <c r="H132" s="40">
        <f>F132/E132*100</f>
        <v>0</v>
      </c>
      <c r="I132" s="60">
        <f t="shared" si="43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9411.009999999998</v>
      </c>
      <c r="G133" s="50">
        <f t="shared" si="42"/>
        <v>6152.289999999999</v>
      </c>
      <c r="H133" s="51">
        <f>F133/E133*100</f>
        <v>288.7946801198016</v>
      </c>
      <c r="I133" s="36">
        <f t="shared" si="43"/>
        <v>-29296.675</v>
      </c>
      <c r="J133" s="36">
        <f>F133/D133*100</f>
        <v>24.313027245106493</v>
      </c>
      <c r="K133" s="36">
        <f>F133-18698.1</f>
        <v>-9287.09</v>
      </c>
      <c r="L133" s="138">
        <f>F133/18698.1</f>
        <v>0.5033137056706296</v>
      </c>
      <c r="M133" s="31">
        <f>M116+M130+M123+M129+M132+M131</f>
        <v>1629.3500000000001</v>
      </c>
      <c r="N133" s="31">
        <f>N116+N130+N123+N129+N132+N131</f>
        <v>1306.0499999999995</v>
      </c>
      <c r="O133" s="36">
        <f t="shared" si="44"/>
        <v>-323.30000000000064</v>
      </c>
      <c r="P133" s="36">
        <f>N133/M133*100</f>
        <v>80.157731610765</v>
      </c>
      <c r="Q133" s="36">
        <f>N133-11501.6</f>
        <v>-10195.550000000001</v>
      </c>
      <c r="R133" s="138">
        <f>N133/11501.6</f>
        <v>0.1135537664324963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46782.19</v>
      </c>
      <c r="G134" s="50">
        <f t="shared" si="42"/>
        <v>-29020.630000000005</v>
      </c>
      <c r="H134" s="51">
        <f>F134/E134*100</f>
        <v>61.715632742950724</v>
      </c>
      <c r="I134" s="36">
        <f t="shared" si="43"/>
        <v>-528965.395</v>
      </c>
      <c r="J134" s="36">
        <f>F134/D134*100</f>
        <v>8.125468732969154</v>
      </c>
      <c r="K134" s="36">
        <f>F134-93999</f>
        <v>-47216.81</v>
      </c>
      <c r="L134" s="138">
        <f>F134/93999</f>
        <v>0.4976881668953925</v>
      </c>
      <c r="M134" s="22">
        <f>M106+M133</f>
        <v>38911.35</v>
      </c>
      <c r="N134" s="22">
        <f>N106+N133</f>
        <v>3909.2299999999977</v>
      </c>
      <c r="O134" s="36">
        <f t="shared" si="44"/>
        <v>-35002.12</v>
      </c>
      <c r="P134" s="36">
        <f>N134/M134*100</f>
        <v>10.046503141114348</v>
      </c>
      <c r="Q134" s="36">
        <f>N134-52280.8</f>
        <v>-48371.57000000001</v>
      </c>
      <c r="R134" s="138">
        <f>N134/52280.8</f>
        <v>0.07477372190173061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17</v>
      </c>
      <c r="D136" s="4" t="s">
        <v>118</v>
      </c>
    </row>
    <row r="137" spans="2:17" ht="31.5">
      <c r="B137" s="78" t="s">
        <v>154</v>
      </c>
      <c r="C137" s="39">
        <f>IF(O106&lt;0,ABS(O106/C136),0)</f>
        <v>2039.9305882352942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41675</v>
      </c>
      <c r="D138" s="39">
        <v>1032.8</v>
      </c>
      <c r="N138" s="169"/>
      <c r="O138" s="169"/>
    </row>
    <row r="139" spans="3:15" ht="15.75">
      <c r="C139" s="120">
        <v>41674</v>
      </c>
      <c r="D139" s="39">
        <v>497.6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41673</v>
      </c>
      <c r="D140" s="39">
        <v>2716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112706.30191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98881.07994999998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4" sqref="I14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190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181</v>
      </c>
      <c r="N3" s="176" t="s">
        <v>180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175</v>
      </c>
      <c r="H4" s="164" t="s">
        <v>176</v>
      </c>
      <c r="I4" s="166" t="s">
        <v>177</v>
      </c>
      <c r="J4" s="172" t="s">
        <v>178</v>
      </c>
      <c r="K4" s="125" t="s">
        <v>174</v>
      </c>
      <c r="L4" s="132" t="s">
        <v>173</v>
      </c>
      <c r="M4" s="155"/>
      <c r="N4" s="174" t="s">
        <v>189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179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85">
        <v>11010232</v>
      </c>
      <c r="D29" s="41"/>
      <c r="E29" s="41"/>
      <c r="F29" s="188">
        <v>358.79</v>
      </c>
      <c r="G29" s="49"/>
      <c r="H29" s="40"/>
      <c r="I29" s="56"/>
      <c r="J29" s="56"/>
      <c r="K29" s="187">
        <f>F29-160.03</f>
        <v>198.76000000000002</v>
      </c>
      <c r="L29" s="18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4687.91</v>
      </c>
      <c r="G55" s="186">
        <f t="shared" si="14"/>
        <v>-62.090000000000146</v>
      </c>
      <c r="H55" s="188">
        <f t="shared" si="15"/>
        <v>98.69284210526315</v>
      </c>
      <c r="I55" s="187">
        <f t="shared" si="18"/>
        <v>-23892.09</v>
      </c>
      <c r="J55" s="187">
        <f t="shared" si="16"/>
        <v>16.402764170748775</v>
      </c>
      <c r="K55" s="187">
        <f>F55-4574.19</f>
        <v>113.72000000000025</v>
      </c>
      <c r="L55" s="18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7" ref="G74:G92">F74-E74</f>
        <v>-38.469999999999914</v>
      </c>
      <c r="H74" s="51">
        <f aca="true" t="shared" si="28" ref="H74:H86">F74/E74*100</f>
        <v>96.3573525234353</v>
      </c>
      <c r="I74" s="36">
        <f aca="true" t="shared" si="29" ref="I74:I92">F74-D74</f>
        <v>-6688.47</v>
      </c>
      <c r="J74" s="36">
        <f aca="true" t="shared" si="30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1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7"/>
        <v>-0.9800000000000004</v>
      </c>
      <c r="H89" s="40">
        <f>F89/E89*100</f>
        <v>90.19999999999999</v>
      </c>
      <c r="I89" s="56">
        <f t="shared" si="29"/>
        <v>-50.980000000000004</v>
      </c>
      <c r="J89" s="56">
        <f t="shared" si="30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4"/>
        <v>10</v>
      </c>
      <c r="N89" s="40">
        <f t="shared" si="35"/>
        <v>9.02</v>
      </c>
      <c r="O89" s="53">
        <f t="shared" si="31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6"/>
        <v>17.49000000000001</v>
      </c>
      <c r="H95" s="40">
        <f>F95/E95*100</f>
        <v>102.7761904761905</v>
      </c>
      <c r="I95" s="56">
        <f t="shared" si="37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4"/>
        <v>630</v>
      </c>
      <c r="N95" s="40">
        <f t="shared" si="35"/>
        <v>647.49</v>
      </c>
      <c r="O95" s="53">
        <f t="shared" si="38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6"/>
        <v>-5.489999999999995</v>
      </c>
      <c r="H96" s="40">
        <f>F96/E96*100</f>
        <v>93.54117647058824</v>
      </c>
      <c r="I96" s="56">
        <f t="shared" si="37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4"/>
        <v>85</v>
      </c>
      <c r="N96" s="40">
        <f t="shared" si="35"/>
        <v>79.51</v>
      </c>
      <c r="O96" s="53">
        <f t="shared" si="38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6"/>
        <v>-52.620000000000005</v>
      </c>
      <c r="H99" s="40">
        <f>F99/E99*100</f>
        <v>84.05454545454545</v>
      </c>
      <c r="I99" s="56">
        <f t="shared" si="37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4"/>
        <v>330</v>
      </c>
      <c r="N99" s="40">
        <f t="shared" si="35"/>
        <v>277.38</v>
      </c>
      <c r="O99" s="53">
        <f t="shared" si="38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64.7</v>
      </c>
      <c r="G102" s="186"/>
      <c r="H102" s="188"/>
      <c r="I102" s="187"/>
      <c r="J102" s="187"/>
      <c r="K102" s="187">
        <f>F102-30.6</f>
        <v>34.1</v>
      </c>
      <c r="L102" s="190">
        <f>F102/30.6*100</f>
        <v>211.43790849673204</v>
      </c>
      <c r="M102" s="40">
        <f t="shared" si="34"/>
        <v>0</v>
      </c>
      <c r="N102" s="40">
        <f t="shared" si="35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39"/>
        <v>-3.79</v>
      </c>
      <c r="J104" s="56">
        <f aca="true" t="shared" si="41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4"/>
        <v>1</v>
      </c>
      <c r="N104" s="40">
        <f t="shared" si="35"/>
        <v>2.21</v>
      </c>
      <c r="O104" s="53">
        <f t="shared" si="40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39"/>
        <v>-196209.2</v>
      </c>
      <c r="J106" s="36">
        <f t="shared" si="41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0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39"/>
        <v>-154082.38</v>
      </c>
      <c r="J107" s="52">
        <f t="shared" si="41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0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39"/>
        <v>-42126.82000000001</v>
      </c>
      <c r="J108" s="52">
        <f t="shared" si="41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0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39"/>
        <v>-392918.58</v>
      </c>
      <c r="J109" s="52">
        <f t="shared" si="41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0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39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2"/>
        <v>-494.89</v>
      </c>
      <c r="H114" s="40">
        <f aca="true" t="shared" si="44" ref="H114:H125">F114/E114*100</f>
        <v>12.102374651439533</v>
      </c>
      <c r="I114" s="60">
        <f t="shared" si="43"/>
        <v>-3310.02</v>
      </c>
      <c r="J114" s="60">
        <f aca="true" t="shared" si="45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>E114</f>
        <v>563.03</v>
      </c>
      <c r="N114" s="40">
        <f>F114</f>
        <v>68.14</v>
      </c>
      <c r="O114" s="53">
        <f aca="true" t="shared" si="46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2"/>
        <v>-495.17999999999995</v>
      </c>
      <c r="H116" s="72">
        <f t="shared" si="44"/>
        <v>15.790010713739097</v>
      </c>
      <c r="I116" s="61">
        <f t="shared" si="43"/>
        <v>-3435.31</v>
      </c>
      <c r="J116" s="61">
        <f t="shared" si="45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6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2"/>
        <v>54.32</v>
      </c>
      <c r="H118" s="40" t="e">
        <f t="shared" si="44"/>
        <v>#DIV/0!</v>
      </c>
      <c r="I118" s="60">
        <f t="shared" si="43"/>
        <v>54.32</v>
      </c>
      <c r="J118" s="60" t="e">
        <f t="shared" si="45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>F118</f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2"/>
        <v>7479.86</v>
      </c>
      <c r="H119" s="40" t="e">
        <f t="shared" si="44"/>
        <v>#DIV/0!</v>
      </c>
      <c r="I119" s="53">
        <f t="shared" si="43"/>
        <v>7479.86</v>
      </c>
      <c r="J119" s="60" t="e">
        <f t="shared" si="45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>F119</f>
        <v>7479.86</v>
      </c>
      <c r="O119" s="53">
        <f t="shared" si="46"/>
        <v>7479.86</v>
      </c>
      <c r="P119" s="60" t="e">
        <f aca="true" t="shared" si="47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2"/>
        <v>0.04</v>
      </c>
      <c r="H120" s="40" t="e">
        <f t="shared" si="44"/>
        <v>#DIV/0!</v>
      </c>
      <c r="I120" s="60">
        <f t="shared" si="43"/>
        <v>0.04</v>
      </c>
      <c r="J120" s="60" t="e">
        <f t="shared" si="45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>F120</f>
        <v>0.04</v>
      </c>
      <c r="O120" s="53">
        <f t="shared" si="46"/>
        <v>0.04</v>
      </c>
      <c r="P120" s="60" t="e">
        <f t="shared" si="47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2"/>
        <v>450.01</v>
      </c>
      <c r="H121" s="40" t="e">
        <f t="shared" si="44"/>
        <v>#DIV/0!</v>
      </c>
      <c r="I121" s="60">
        <f t="shared" si="43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>F121</f>
        <v>450.01</v>
      </c>
      <c r="O121" s="53">
        <f t="shared" si="46"/>
        <v>450.01</v>
      </c>
      <c r="P121" s="60" t="e">
        <f t="shared" si="47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2"/>
        <v>7985.28</v>
      </c>
      <c r="H123" s="72" t="e">
        <f t="shared" si="44"/>
        <v>#DIV/0!</v>
      </c>
      <c r="I123" s="61">
        <f t="shared" si="43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6"/>
        <v>7985.28</v>
      </c>
      <c r="P123" s="61" t="e">
        <f t="shared" si="47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48" ref="G127:G134">F127-E127</f>
        <v>-712.4300000000001</v>
      </c>
      <c r="H127" s="40">
        <f>F127/E127*100</f>
        <v>2.4202164087111355</v>
      </c>
      <c r="I127" s="60">
        <f aca="true" t="shared" si="49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>E127</f>
        <v>730.1</v>
      </c>
      <c r="N127" s="40">
        <f>F127</f>
        <v>17.67</v>
      </c>
      <c r="O127" s="53">
        <f aca="true" t="shared" si="50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48"/>
        <v>-0.21</v>
      </c>
      <c r="H128" s="40"/>
      <c r="I128" s="60">
        <f t="shared" si="49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>E128</f>
        <v>0</v>
      </c>
      <c r="N128" s="40">
        <f>F128</f>
        <v>-0.21</v>
      </c>
      <c r="O128" s="53">
        <f t="shared" si="50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48"/>
        <v>-703.72</v>
      </c>
      <c r="H129" s="72">
        <f>F129/E129*100</f>
        <v>3.6132036707300372</v>
      </c>
      <c r="I129" s="61">
        <f t="shared" si="49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0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>E130</f>
        <v>0</v>
      </c>
      <c r="N130" s="40">
        <f>F130</f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48"/>
        <v>6475.59</v>
      </c>
      <c r="H133" s="51">
        <f>F133/E133*100</f>
        <v>497.4290676764639</v>
      </c>
      <c r="I133" s="36">
        <f t="shared" si="49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0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48"/>
        <v>5981.489999999998</v>
      </c>
      <c r="H134" s="51">
        <f>F134/E134*100</f>
        <v>116.21374805612245</v>
      </c>
      <c r="I134" s="36">
        <f t="shared" si="49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0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69"/>
      <c r="O138" s="169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v>111410.62</v>
      </c>
      <c r="E142" s="80"/>
      <c r="F142" s="100" t="s">
        <v>147</v>
      </c>
      <c r="G142" s="170" t="s">
        <v>149</v>
      </c>
      <c r="H142" s="170"/>
      <c r="I142" s="116">
        <v>97585.4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2014-02-05T10:08:21Z</cp:lastPrinted>
  <dcterms:created xsi:type="dcterms:W3CDTF">2003-07-28T11:27:56Z</dcterms:created>
  <dcterms:modified xsi:type="dcterms:W3CDTF">2014-02-06T13:25:49Z</dcterms:modified>
  <cp:category/>
  <cp:version/>
  <cp:contentType/>
  <cp:contentStatus/>
</cp:coreProperties>
</file>